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Projection" sheetId="3" state="visible" r:id="rId3"/>
    <sheet xmlns:r="http://schemas.openxmlformats.org/officeDocument/2006/relationships" name="Sensitiv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;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B1C1C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DE2E1"/>
      </patternFill>
    </fill>
    <fill>
      <patternFill patternType="solid">
        <fgColor rgb="005B3A1E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4" fillId="3" borderId="0" applyAlignment="1" pivotButton="0" quotePrefix="0" xfId="0">
      <alignment wrapText="1"/>
    </xf>
    <xf numFmtId="0" fontId="0" fillId="4" borderId="0" pivotButton="0" quotePrefix="0" xfId="0"/>
    <xf numFmtId="164" fontId="0" fillId="4" borderId="0" pivotButton="0" quotePrefix="0" xfId="0"/>
    <xf numFmtId="165" fontId="3" fillId="2" borderId="0" pivotButton="0" quotePrefix="0" xfId="0"/>
    <xf numFmtId="165" fontId="0" fillId="0" borderId="0" pivotButton="0" quotePrefix="0" xfId="0"/>
    <xf numFmtId="165" fontId="4" fillId="3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2" t="inlineStr">
        <is>
          <t>Herd Cash Flow &amp; ROI Projection (10 years)</t>
        </is>
      </c>
    </row>
    <row r="3">
      <c r="A3" s="3" t="inlineStr"/>
    </row>
    <row r="4">
      <c r="A4" s="4" t="inlineStr">
        <is>
          <t>How to use:</t>
        </is>
      </c>
    </row>
    <row r="5">
      <c r="A5" s="3" t="inlineStr">
        <is>
          <t>1. 'Inputs': enter YOUR numbers. All cells are blank or zero on purpose - no seller or marketing percentages are pre-filled.</t>
        </is>
      </c>
    </row>
    <row r="6">
      <c r="A6" s="3" t="inlineStr">
        <is>
          <t>2. Herd: starting breeding females &amp; males, purchase price, births per female per year, offspring survival %, adult annual mortality %, share of surviving offspring sold each year, expected sale price per head.</t>
        </is>
      </c>
    </row>
    <row r="7">
      <c r="A7" s="3" t="inlineStr">
        <is>
          <t>3. Costs: feed per head per year, vet per head, labor per year, land (lease/interest/tax) per year, fence/infrastructure capital + annual maintenance, capture/hauling per head sold, sales commission %.</t>
        </is>
      </c>
    </row>
    <row r="8">
      <c r="A8" s="3" t="inlineStr">
        <is>
          <t>4. 'Projection' shows head count, revenue, every cost line, net cash, cumulative cash, payback year, and ROI. 'Sensitivity' recalculates year-10 cumulative cash at price and survival -20%/+20%.</t>
        </is>
      </c>
    </row>
    <row r="9">
      <c r="A9" s="3" t="inlineStr">
        <is>
          <t>5. Price ideas: see the cited price points at the site's Market Prices page (data/prices.json, each with a source URL). Do not treat a single auction result as typical.</t>
        </is>
      </c>
    </row>
    <row r="10">
      <c r="A10" s="3" t="inlineStr">
        <is>
          <t>6. Simplified model: breeding herd held constant (deaths replaced from retained offspring); no taxes; no inflation unless you enter one.</t>
        </is>
      </c>
    </row>
    <row r="11">
      <c r="A11" s="3" t="inlineStr">
        <is>
          <t>Yellow cells are inputs. Other cells are formulas. Nothing is pre-filled with rates except published statutory/IRS table figures, cited below.</t>
        </is>
      </c>
    </row>
    <row r="12">
      <c r="A12" s="3" t="inlineStr"/>
    </row>
    <row r="13">
      <c r="A13" s="4" t="inlineStr">
        <is>
          <t>Sources:</t>
        </is>
      </c>
    </row>
    <row r="14">
      <c r="A14" s="3" t="inlineStr">
        <is>
          <t>Exotic Ranch &amp; Wildlife Network price tracker (cited sources per data point): ../prices.html and data/prices.csv</t>
        </is>
      </c>
    </row>
    <row r="15">
      <c r="A15" s="3" t="inlineStr">
        <is>
          <t>IRS Pub 225, Farmer's Tax Guide: https://www.irs.gov/publications/p225</t>
        </is>
      </c>
    </row>
    <row r="16">
      <c r="A16" s="3" t="inlineStr">
        <is>
          <t>For tax effects use the Depreciation and Expense Ledger templates and your CPA.</t>
        </is>
      </c>
    </row>
    <row r="17">
      <c r="A17" s="3" t="inlineStr"/>
    </row>
    <row r="18">
      <c r="A18" s="3" t="inlineStr">
        <is>
          <t>Built by Exotic Ranch &amp; Wildlife Network (draft), Oct 2026. Verify every figure against the current publication; tax law changes.</t>
        </is>
      </c>
    </row>
  </sheetData>
  <mergeCells count="1"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Input</t>
        </is>
      </c>
      <c r="B2" s="5" t="inlineStr">
        <is>
          <t>Value</t>
        </is>
      </c>
      <c r="C2" s="5" t="inlineStr">
        <is>
          <t>Notes</t>
        </is>
      </c>
    </row>
    <row r="3">
      <c r="A3" t="inlineStr">
        <is>
          <t>Species / group</t>
        </is>
      </c>
      <c r="B3" s="6" t="inlineStr"/>
    </row>
    <row r="4">
      <c r="A4" t="inlineStr">
        <is>
          <t>Starting breeding females</t>
        </is>
      </c>
      <c r="B4" s="6" t="n">
        <v>0</v>
      </c>
    </row>
    <row r="5">
      <c r="A5" t="inlineStr">
        <is>
          <t>Starting breeding males</t>
        </is>
      </c>
      <c r="B5" s="6" t="n">
        <v>0</v>
      </c>
    </row>
    <row r="6">
      <c r="A6" t="inlineStr">
        <is>
          <t>Purchase price per female ($)</t>
        </is>
      </c>
      <c r="B6" s="6" t="n">
        <v>0</v>
      </c>
    </row>
    <row r="7">
      <c r="A7" t="inlineStr">
        <is>
          <t>Purchase price per male ($)</t>
        </is>
      </c>
      <c r="B7" s="6" t="n">
        <v>0</v>
      </c>
    </row>
    <row r="8">
      <c r="A8" t="inlineStr">
        <is>
          <t>Births per female per year</t>
        </is>
      </c>
      <c r="B8" s="6" t="n">
        <v>0</v>
      </c>
    </row>
    <row r="9">
      <c r="A9" t="inlineStr">
        <is>
          <t>Offspring survival to sale (%)</t>
        </is>
      </c>
      <c r="B9" s="7" t="n">
        <v>0</v>
      </c>
    </row>
    <row r="10">
      <c r="A10" t="inlineStr">
        <is>
          <t>Adult annual mortality (%)</t>
        </is>
      </c>
      <c r="B10" s="7" t="n">
        <v>0</v>
      </c>
    </row>
    <row r="11">
      <c r="A11" t="inlineStr">
        <is>
          <t>Share of surviving offspring sold (%)</t>
        </is>
      </c>
      <c r="B11" s="7" t="n">
        <v>0</v>
      </c>
    </row>
    <row r="12">
      <c r="A12" t="inlineStr">
        <is>
          <t>Sale price per head ($)</t>
        </is>
      </c>
      <c r="B12" s="6" t="n">
        <v>0</v>
      </c>
    </row>
    <row r="13">
      <c r="A13" t="inlineStr">
        <is>
          <t>Sales commission (%)</t>
        </is>
      </c>
      <c r="B13" s="7" t="n">
        <v>0</v>
      </c>
    </row>
    <row r="14">
      <c r="A14" t="inlineStr">
        <is>
          <t>Capture/haul cost per head sold ($)</t>
        </is>
      </c>
      <c r="B14" s="6" t="n">
        <v>0</v>
      </c>
    </row>
    <row r="15">
      <c r="A15" t="inlineStr">
        <is>
          <t>Feed per head per year ($)</t>
        </is>
      </c>
      <c r="B15" s="6" t="n">
        <v>0</v>
      </c>
    </row>
    <row r="16">
      <c r="A16" t="inlineStr">
        <is>
          <t>Vet per head per year ($)</t>
        </is>
      </c>
      <c r="B16" s="6" t="n">
        <v>0</v>
      </c>
    </row>
    <row r="17">
      <c r="A17" t="inlineStr">
        <is>
          <t>Labor per year ($)</t>
        </is>
      </c>
      <c r="B17" s="6" t="n">
        <v>0</v>
      </c>
    </row>
    <row r="18">
      <c r="A18" t="inlineStr">
        <is>
          <t>Land cost per year ($)</t>
        </is>
      </c>
      <c r="B18" s="6" t="n">
        <v>0</v>
      </c>
    </row>
    <row r="19">
      <c r="A19" t="inlineStr">
        <is>
          <t>Fence/infrastructure capital, year 1 ($)</t>
        </is>
      </c>
      <c r="B19" s="6" t="n">
        <v>0</v>
      </c>
    </row>
    <row r="20">
      <c r="A20" t="inlineStr">
        <is>
          <t>Fence/infrastructure maintenance per year ($)</t>
        </is>
      </c>
      <c r="B20" s="6" t="n">
        <v>0</v>
      </c>
    </row>
    <row r="21">
      <c r="A21" t="inlineStr">
        <is>
          <t>Annual cost inflation (%)</t>
        </is>
      </c>
      <c r="B21" s="7" t="n">
        <v>0</v>
      </c>
    </row>
    <row r="22">
      <c r="A22" t="inlineStr">
        <is>
          <t>Other annual cost ($)</t>
        </is>
      </c>
      <c r="B22" s="6" t="n">
        <v>0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Year</t>
        </is>
      </c>
      <c r="B2" s="5" t="inlineStr">
        <is>
          <t>Breeding head</t>
        </is>
      </c>
      <c r="C2" s="5" t="inlineStr">
        <is>
          <t>Births</t>
        </is>
      </c>
      <c r="D2" s="5" t="inlineStr">
        <is>
          <t>Surviving offspring</t>
        </is>
      </c>
      <c r="E2" s="5" t="inlineStr">
        <is>
          <t>Head sold</t>
        </is>
      </c>
      <c r="F2" s="5" t="inlineStr">
        <is>
          <t>Adult deaths (replaced)</t>
        </is>
      </c>
      <c r="G2" s="5" t="inlineStr">
        <is>
          <t>Gross sales ($)</t>
        </is>
      </c>
      <c r="H2" s="5" t="inlineStr">
        <is>
          <t>Commission ($)</t>
        </is>
      </c>
      <c r="I2" s="5" t="inlineStr">
        <is>
          <t>Capture/haul ($)</t>
        </is>
      </c>
      <c r="J2" s="5" t="inlineStr">
        <is>
          <t>Feed ($)</t>
        </is>
      </c>
      <c r="K2" s="5" t="inlineStr">
        <is>
          <t>Vet ($)</t>
        </is>
      </c>
      <c r="L2" s="5" t="inlineStr">
        <is>
          <t>Labor ($)</t>
        </is>
      </c>
      <c r="M2" s="5" t="inlineStr">
        <is>
          <t>Land ($)</t>
        </is>
      </c>
      <c r="N2" s="5" t="inlineStr">
        <is>
          <t>Fence capital &amp; maint. ($)</t>
        </is>
      </c>
      <c r="O2" s="5" t="inlineStr">
        <is>
          <t>Other ($)</t>
        </is>
      </c>
      <c r="P2" s="5" t="inlineStr">
        <is>
          <t>Herd purchase ($)</t>
        </is>
      </c>
      <c r="Q2" s="5" t="inlineStr">
        <is>
          <t>Net cash ($)</t>
        </is>
      </c>
      <c r="R2" s="5" t="inlineStr">
        <is>
          <t>Cumulative ($)</t>
        </is>
      </c>
    </row>
    <row r="3">
      <c r="A3" t="n">
        <v>1</v>
      </c>
      <c r="B3">
        <f>Inputs!$B$4+Inputs!$B$5</f>
        <v/>
      </c>
      <c r="C3">
        <f>Inputs!$B$4*Inputs!$B$8</f>
        <v/>
      </c>
      <c r="D3">
        <f>C3*Inputs!$B$9</f>
        <v/>
      </c>
      <c r="E3">
        <f>MAX(0,ROUNDDOWN(MAX(0,D3-F3)*Inputs!$B$11,0))</f>
        <v/>
      </c>
      <c r="F3">
        <f>B3*Inputs!$B$10</f>
        <v/>
      </c>
      <c r="G3">
        <f>E3*Inputs!$B$12</f>
        <v/>
      </c>
      <c r="H3">
        <f>-G3*Inputs!$B$13</f>
        <v/>
      </c>
      <c r="I3">
        <f>-E3*Inputs!$B$14*(1+Inputs!$B$21)^(1-1)</f>
        <v/>
      </c>
      <c r="J3">
        <f>-(B3+D3/2)*Inputs!$B$15*(1+Inputs!$B$21)^(1-1)</f>
        <v/>
      </c>
      <c r="K3">
        <f>-(B3+D3/2)*Inputs!$B$16*(1+Inputs!$B$21)^(1-1)</f>
        <v/>
      </c>
      <c r="L3">
        <f>-Inputs!$B$17*(1+Inputs!$B$21)^(1-1)</f>
        <v/>
      </c>
      <c r="M3">
        <f>-Inputs!$B$18*(1+Inputs!$B$21)^(1-1)</f>
        <v/>
      </c>
      <c r="N3">
        <f>-(IF(A3=1,Inputs!$B$19,0)+Inputs!$B$20*(1+Inputs!$B$21)^(1-1))</f>
        <v/>
      </c>
      <c r="O3">
        <f>-Inputs!$B$22*(1+Inputs!$B$21)^(1-1)</f>
        <v/>
      </c>
      <c r="P3">
        <f>-(Inputs!$B$4*Inputs!$B$6+Inputs!$B$5*Inputs!$B$7)</f>
        <v/>
      </c>
      <c r="Q3">
        <f>SUM(G3:P3)</f>
        <v/>
      </c>
      <c r="R3">
        <f>Q3</f>
        <v/>
      </c>
    </row>
    <row r="4">
      <c r="A4" t="n">
        <v>2</v>
      </c>
      <c r="B4">
        <f>Inputs!$B$4+Inputs!$B$5</f>
        <v/>
      </c>
      <c r="C4">
        <f>Inputs!$B$4*Inputs!$B$8</f>
        <v/>
      </c>
      <c r="D4">
        <f>C4*Inputs!$B$9</f>
        <v/>
      </c>
      <c r="E4">
        <f>MAX(0,ROUNDDOWN(MAX(0,D4-F4)*Inputs!$B$11,0))</f>
        <v/>
      </c>
      <c r="F4">
        <f>B4*Inputs!$B$10</f>
        <v/>
      </c>
      <c r="G4">
        <f>E4*Inputs!$B$12</f>
        <v/>
      </c>
      <c r="H4">
        <f>-G4*Inputs!$B$13</f>
        <v/>
      </c>
      <c r="I4">
        <f>-E4*Inputs!$B$14*(1+Inputs!$B$21)^(2-1)</f>
        <v/>
      </c>
      <c r="J4">
        <f>-(B4+D4/2)*Inputs!$B$15*(1+Inputs!$B$21)^(2-1)</f>
        <v/>
      </c>
      <c r="K4">
        <f>-(B4+D4/2)*Inputs!$B$16*(1+Inputs!$B$21)^(2-1)</f>
        <v/>
      </c>
      <c r="L4">
        <f>-Inputs!$B$17*(1+Inputs!$B$21)^(2-1)</f>
        <v/>
      </c>
      <c r="M4">
        <f>-Inputs!$B$18*(1+Inputs!$B$21)^(2-1)</f>
        <v/>
      </c>
      <c r="N4">
        <f>-(IF(A4=1,Inputs!$B$19,0)+Inputs!$B$20*(1+Inputs!$B$21)^(2-1))</f>
        <v/>
      </c>
      <c r="O4">
        <f>-Inputs!$B$22*(1+Inputs!$B$21)^(2-1)</f>
        <v/>
      </c>
      <c r="P4" t="n">
        <v>0</v>
      </c>
      <c r="Q4">
        <f>SUM(G4:P4)</f>
        <v/>
      </c>
      <c r="R4">
        <f>R3+Q4</f>
        <v/>
      </c>
    </row>
    <row r="5">
      <c r="A5" t="n">
        <v>3</v>
      </c>
      <c r="B5">
        <f>Inputs!$B$4+Inputs!$B$5</f>
        <v/>
      </c>
      <c r="C5">
        <f>Inputs!$B$4*Inputs!$B$8</f>
        <v/>
      </c>
      <c r="D5">
        <f>C5*Inputs!$B$9</f>
        <v/>
      </c>
      <c r="E5">
        <f>MAX(0,ROUNDDOWN(MAX(0,D5-F5)*Inputs!$B$11,0))</f>
        <v/>
      </c>
      <c r="F5">
        <f>B5*Inputs!$B$10</f>
        <v/>
      </c>
      <c r="G5">
        <f>E5*Inputs!$B$12</f>
        <v/>
      </c>
      <c r="H5">
        <f>-G5*Inputs!$B$13</f>
        <v/>
      </c>
      <c r="I5">
        <f>-E5*Inputs!$B$14*(1+Inputs!$B$21)^(3-1)</f>
        <v/>
      </c>
      <c r="J5">
        <f>-(B5+D5/2)*Inputs!$B$15*(1+Inputs!$B$21)^(3-1)</f>
        <v/>
      </c>
      <c r="K5">
        <f>-(B5+D5/2)*Inputs!$B$16*(1+Inputs!$B$21)^(3-1)</f>
        <v/>
      </c>
      <c r="L5">
        <f>-Inputs!$B$17*(1+Inputs!$B$21)^(3-1)</f>
        <v/>
      </c>
      <c r="M5">
        <f>-Inputs!$B$18*(1+Inputs!$B$21)^(3-1)</f>
        <v/>
      </c>
      <c r="N5">
        <f>-(IF(A5=1,Inputs!$B$19,0)+Inputs!$B$20*(1+Inputs!$B$21)^(3-1))</f>
        <v/>
      </c>
      <c r="O5">
        <f>-Inputs!$B$22*(1+Inputs!$B$21)^(3-1)</f>
        <v/>
      </c>
      <c r="P5" t="n">
        <v>0</v>
      </c>
      <c r="Q5">
        <f>SUM(G5:P5)</f>
        <v/>
      </c>
      <c r="R5">
        <f>R4+Q5</f>
        <v/>
      </c>
    </row>
    <row r="6">
      <c r="A6" t="n">
        <v>4</v>
      </c>
      <c r="B6">
        <f>Inputs!$B$4+Inputs!$B$5</f>
        <v/>
      </c>
      <c r="C6">
        <f>Inputs!$B$4*Inputs!$B$8</f>
        <v/>
      </c>
      <c r="D6">
        <f>C6*Inputs!$B$9</f>
        <v/>
      </c>
      <c r="E6">
        <f>MAX(0,ROUNDDOWN(MAX(0,D6-F6)*Inputs!$B$11,0))</f>
        <v/>
      </c>
      <c r="F6">
        <f>B6*Inputs!$B$10</f>
        <v/>
      </c>
      <c r="G6">
        <f>E6*Inputs!$B$12</f>
        <v/>
      </c>
      <c r="H6">
        <f>-G6*Inputs!$B$13</f>
        <v/>
      </c>
      <c r="I6">
        <f>-E6*Inputs!$B$14*(1+Inputs!$B$21)^(4-1)</f>
        <v/>
      </c>
      <c r="J6">
        <f>-(B6+D6/2)*Inputs!$B$15*(1+Inputs!$B$21)^(4-1)</f>
        <v/>
      </c>
      <c r="K6">
        <f>-(B6+D6/2)*Inputs!$B$16*(1+Inputs!$B$21)^(4-1)</f>
        <v/>
      </c>
      <c r="L6">
        <f>-Inputs!$B$17*(1+Inputs!$B$21)^(4-1)</f>
        <v/>
      </c>
      <c r="M6">
        <f>-Inputs!$B$18*(1+Inputs!$B$21)^(4-1)</f>
        <v/>
      </c>
      <c r="N6">
        <f>-(IF(A6=1,Inputs!$B$19,0)+Inputs!$B$20*(1+Inputs!$B$21)^(4-1))</f>
        <v/>
      </c>
      <c r="O6">
        <f>-Inputs!$B$22*(1+Inputs!$B$21)^(4-1)</f>
        <v/>
      </c>
      <c r="P6" t="n">
        <v>0</v>
      </c>
      <c r="Q6">
        <f>SUM(G6:P6)</f>
        <v/>
      </c>
      <c r="R6">
        <f>R5+Q6</f>
        <v/>
      </c>
    </row>
    <row r="7">
      <c r="A7" t="n">
        <v>5</v>
      </c>
      <c r="B7">
        <f>Inputs!$B$4+Inputs!$B$5</f>
        <v/>
      </c>
      <c r="C7">
        <f>Inputs!$B$4*Inputs!$B$8</f>
        <v/>
      </c>
      <c r="D7">
        <f>C7*Inputs!$B$9</f>
        <v/>
      </c>
      <c r="E7">
        <f>MAX(0,ROUNDDOWN(MAX(0,D7-F7)*Inputs!$B$11,0))</f>
        <v/>
      </c>
      <c r="F7">
        <f>B7*Inputs!$B$10</f>
        <v/>
      </c>
      <c r="G7">
        <f>E7*Inputs!$B$12</f>
        <v/>
      </c>
      <c r="H7">
        <f>-G7*Inputs!$B$13</f>
        <v/>
      </c>
      <c r="I7">
        <f>-E7*Inputs!$B$14*(1+Inputs!$B$21)^(5-1)</f>
        <v/>
      </c>
      <c r="J7">
        <f>-(B7+D7/2)*Inputs!$B$15*(1+Inputs!$B$21)^(5-1)</f>
        <v/>
      </c>
      <c r="K7">
        <f>-(B7+D7/2)*Inputs!$B$16*(1+Inputs!$B$21)^(5-1)</f>
        <v/>
      </c>
      <c r="L7">
        <f>-Inputs!$B$17*(1+Inputs!$B$21)^(5-1)</f>
        <v/>
      </c>
      <c r="M7">
        <f>-Inputs!$B$18*(1+Inputs!$B$21)^(5-1)</f>
        <v/>
      </c>
      <c r="N7">
        <f>-(IF(A7=1,Inputs!$B$19,0)+Inputs!$B$20*(1+Inputs!$B$21)^(5-1))</f>
        <v/>
      </c>
      <c r="O7">
        <f>-Inputs!$B$22*(1+Inputs!$B$21)^(5-1)</f>
        <v/>
      </c>
      <c r="P7" t="n">
        <v>0</v>
      </c>
      <c r="Q7">
        <f>SUM(G7:P7)</f>
        <v/>
      </c>
      <c r="R7">
        <f>R6+Q7</f>
        <v/>
      </c>
    </row>
    <row r="8">
      <c r="A8" t="n">
        <v>6</v>
      </c>
      <c r="B8">
        <f>Inputs!$B$4+Inputs!$B$5</f>
        <v/>
      </c>
      <c r="C8">
        <f>Inputs!$B$4*Inputs!$B$8</f>
        <v/>
      </c>
      <c r="D8">
        <f>C8*Inputs!$B$9</f>
        <v/>
      </c>
      <c r="E8">
        <f>MAX(0,ROUNDDOWN(MAX(0,D8-F8)*Inputs!$B$11,0))</f>
        <v/>
      </c>
      <c r="F8">
        <f>B8*Inputs!$B$10</f>
        <v/>
      </c>
      <c r="G8">
        <f>E8*Inputs!$B$12</f>
        <v/>
      </c>
      <c r="H8">
        <f>-G8*Inputs!$B$13</f>
        <v/>
      </c>
      <c r="I8">
        <f>-E8*Inputs!$B$14*(1+Inputs!$B$21)^(6-1)</f>
        <v/>
      </c>
      <c r="J8">
        <f>-(B8+D8/2)*Inputs!$B$15*(1+Inputs!$B$21)^(6-1)</f>
        <v/>
      </c>
      <c r="K8">
        <f>-(B8+D8/2)*Inputs!$B$16*(1+Inputs!$B$21)^(6-1)</f>
        <v/>
      </c>
      <c r="L8">
        <f>-Inputs!$B$17*(1+Inputs!$B$21)^(6-1)</f>
        <v/>
      </c>
      <c r="M8">
        <f>-Inputs!$B$18*(1+Inputs!$B$21)^(6-1)</f>
        <v/>
      </c>
      <c r="N8">
        <f>-(IF(A8=1,Inputs!$B$19,0)+Inputs!$B$20*(1+Inputs!$B$21)^(6-1))</f>
        <v/>
      </c>
      <c r="O8">
        <f>-Inputs!$B$22*(1+Inputs!$B$21)^(6-1)</f>
        <v/>
      </c>
      <c r="P8" t="n">
        <v>0</v>
      </c>
      <c r="Q8">
        <f>SUM(G8:P8)</f>
        <v/>
      </c>
      <c r="R8">
        <f>R7+Q8</f>
        <v/>
      </c>
    </row>
    <row r="9">
      <c r="A9" t="n">
        <v>7</v>
      </c>
      <c r="B9">
        <f>Inputs!$B$4+Inputs!$B$5</f>
        <v/>
      </c>
      <c r="C9">
        <f>Inputs!$B$4*Inputs!$B$8</f>
        <v/>
      </c>
      <c r="D9">
        <f>C9*Inputs!$B$9</f>
        <v/>
      </c>
      <c r="E9">
        <f>MAX(0,ROUNDDOWN(MAX(0,D9-F9)*Inputs!$B$11,0))</f>
        <v/>
      </c>
      <c r="F9">
        <f>B9*Inputs!$B$10</f>
        <v/>
      </c>
      <c r="G9">
        <f>E9*Inputs!$B$12</f>
        <v/>
      </c>
      <c r="H9">
        <f>-G9*Inputs!$B$13</f>
        <v/>
      </c>
      <c r="I9">
        <f>-E9*Inputs!$B$14*(1+Inputs!$B$21)^(7-1)</f>
        <v/>
      </c>
      <c r="J9">
        <f>-(B9+D9/2)*Inputs!$B$15*(1+Inputs!$B$21)^(7-1)</f>
        <v/>
      </c>
      <c r="K9">
        <f>-(B9+D9/2)*Inputs!$B$16*(1+Inputs!$B$21)^(7-1)</f>
        <v/>
      </c>
      <c r="L9">
        <f>-Inputs!$B$17*(1+Inputs!$B$21)^(7-1)</f>
        <v/>
      </c>
      <c r="M9">
        <f>-Inputs!$B$18*(1+Inputs!$B$21)^(7-1)</f>
        <v/>
      </c>
      <c r="N9">
        <f>-(IF(A9=1,Inputs!$B$19,0)+Inputs!$B$20*(1+Inputs!$B$21)^(7-1))</f>
        <v/>
      </c>
      <c r="O9">
        <f>-Inputs!$B$22*(1+Inputs!$B$21)^(7-1)</f>
        <v/>
      </c>
      <c r="P9" t="n">
        <v>0</v>
      </c>
      <c r="Q9">
        <f>SUM(G9:P9)</f>
        <v/>
      </c>
      <c r="R9">
        <f>R8+Q9</f>
        <v/>
      </c>
    </row>
    <row r="10">
      <c r="A10" t="n">
        <v>8</v>
      </c>
      <c r="B10">
        <f>Inputs!$B$4+Inputs!$B$5</f>
        <v/>
      </c>
      <c r="C10">
        <f>Inputs!$B$4*Inputs!$B$8</f>
        <v/>
      </c>
      <c r="D10">
        <f>C10*Inputs!$B$9</f>
        <v/>
      </c>
      <c r="E10">
        <f>MAX(0,ROUNDDOWN(MAX(0,D10-F10)*Inputs!$B$11,0))</f>
        <v/>
      </c>
      <c r="F10">
        <f>B10*Inputs!$B$10</f>
        <v/>
      </c>
      <c r="G10">
        <f>E10*Inputs!$B$12</f>
        <v/>
      </c>
      <c r="H10">
        <f>-G10*Inputs!$B$13</f>
        <v/>
      </c>
      <c r="I10">
        <f>-E10*Inputs!$B$14*(1+Inputs!$B$21)^(8-1)</f>
        <v/>
      </c>
      <c r="J10">
        <f>-(B10+D10/2)*Inputs!$B$15*(1+Inputs!$B$21)^(8-1)</f>
        <v/>
      </c>
      <c r="K10">
        <f>-(B10+D10/2)*Inputs!$B$16*(1+Inputs!$B$21)^(8-1)</f>
        <v/>
      </c>
      <c r="L10">
        <f>-Inputs!$B$17*(1+Inputs!$B$21)^(8-1)</f>
        <v/>
      </c>
      <c r="M10">
        <f>-Inputs!$B$18*(1+Inputs!$B$21)^(8-1)</f>
        <v/>
      </c>
      <c r="N10">
        <f>-(IF(A10=1,Inputs!$B$19,0)+Inputs!$B$20*(1+Inputs!$B$21)^(8-1))</f>
        <v/>
      </c>
      <c r="O10">
        <f>-Inputs!$B$22*(1+Inputs!$B$21)^(8-1)</f>
        <v/>
      </c>
      <c r="P10" t="n">
        <v>0</v>
      </c>
      <c r="Q10">
        <f>SUM(G10:P10)</f>
        <v/>
      </c>
      <c r="R10">
        <f>R9+Q10</f>
        <v/>
      </c>
    </row>
    <row r="11">
      <c r="A11" t="n">
        <v>9</v>
      </c>
      <c r="B11">
        <f>Inputs!$B$4+Inputs!$B$5</f>
        <v/>
      </c>
      <c r="C11">
        <f>Inputs!$B$4*Inputs!$B$8</f>
        <v/>
      </c>
      <c r="D11">
        <f>C11*Inputs!$B$9</f>
        <v/>
      </c>
      <c r="E11">
        <f>MAX(0,ROUNDDOWN(MAX(0,D11-F11)*Inputs!$B$11,0))</f>
        <v/>
      </c>
      <c r="F11">
        <f>B11*Inputs!$B$10</f>
        <v/>
      </c>
      <c r="G11">
        <f>E11*Inputs!$B$12</f>
        <v/>
      </c>
      <c r="H11">
        <f>-G11*Inputs!$B$13</f>
        <v/>
      </c>
      <c r="I11">
        <f>-E11*Inputs!$B$14*(1+Inputs!$B$21)^(9-1)</f>
        <v/>
      </c>
      <c r="J11">
        <f>-(B11+D11/2)*Inputs!$B$15*(1+Inputs!$B$21)^(9-1)</f>
        <v/>
      </c>
      <c r="K11">
        <f>-(B11+D11/2)*Inputs!$B$16*(1+Inputs!$B$21)^(9-1)</f>
        <v/>
      </c>
      <c r="L11">
        <f>-Inputs!$B$17*(1+Inputs!$B$21)^(9-1)</f>
        <v/>
      </c>
      <c r="M11">
        <f>-Inputs!$B$18*(1+Inputs!$B$21)^(9-1)</f>
        <v/>
      </c>
      <c r="N11">
        <f>-(IF(A11=1,Inputs!$B$19,0)+Inputs!$B$20*(1+Inputs!$B$21)^(9-1))</f>
        <v/>
      </c>
      <c r="O11">
        <f>-Inputs!$B$22*(1+Inputs!$B$21)^(9-1)</f>
        <v/>
      </c>
      <c r="P11" t="n">
        <v>0</v>
      </c>
      <c r="Q11">
        <f>SUM(G11:P11)</f>
        <v/>
      </c>
      <c r="R11">
        <f>R10+Q11</f>
        <v/>
      </c>
    </row>
    <row r="12">
      <c r="A12" t="n">
        <v>10</v>
      </c>
      <c r="B12">
        <f>Inputs!$B$4+Inputs!$B$5</f>
        <v/>
      </c>
      <c r="C12">
        <f>Inputs!$B$4*Inputs!$B$8</f>
        <v/>
      </c>
      <c r="D12">
        <f>C12*Inputs!$B$9</f>
        <v/>
      </c>
      <c r="E12">
        <f>MAX(0,ROUNDDOWN(MAX(0,D12-F12)*Inputs!$B$11,0))</f>
        <v/>
      </c>
      <c r="F12">
        <f>B12*Inputs!$B$10</f>
        <v/>
      </c>
      <c r="G12">
        <f>E12*Inputs!$B$12</f>
        <v/>
      </c>
      <c r="H12">
        <f>-G12*Inputs!$B$13</f>
        <v/>
      </c>
      <c r="I12">
        <f>-E12*Inputs!$B$14*(1+Inputs!$B$21)^(10-1)</f>
        <v/>
      </c>
      <c r="J12">
        <f>-(B12+D12/2)*Inputs!$B$15*(1+Inputs!$B$21)^(10-1)</f>
        <v/>
      </c>
      <c r="K12">
        <f>-(B12+D12/2)*Inputs!$B$16*(1+Inputs!$B$21)^(10-1)</f>
        <v/>
      </c>
      <c r="L12">
        <f>-Inputs!$B$17*(1+Inputs!$B$21)^(10-1)</f>
        <v/>
      </c>
      <c r="M12">
        <f>-Inputs!$B$18*(1+Inputs!$B$21)^(10-1)</f>
        <v/>
      </c>
      <c r="N12">
        <f>-(IF(A12=1,Inputs!$B$19,0)+Inputs!$B$20*(1+Inputs!$B$21)^(10-1))</f>
        <v/>
      </c>
      <c r="O12">
        <f>-Inputs!$B$22*(1+Inputs!$B$21)^(10-1)</f>
        <v/>
      </c>
      <c r="P12" t="n">
        <v>0</v>
      </c>
      <c r="Q12">
        <f>SUM(G12:P12)</f>
        <v/>
      </c>
      <c r="R12">
        <f>R11+Q12</f>
        <v/>
      </c>
    </row>
    <row r="13"/>
    <row r="14"/>
    <row r="15">
      <c r="A15" t="inlineStr">
        <is>
          <t>Total initial outlay ($)</t>
        </is>
      </c>
      <c r="B15">
        <f>-(P3+N3)</f>
        <v/>
      </c>
    </row>
    <row r="16">
      <c r="A16" t="inlineStr">
        <is>
          <t>Payback year</t>
        </is>
      </c>
      <c r="B16">
        <f>IFERROR(INDEX(A3:A12,MATCH(TRUE,INDEX(R3:R12&gt;=0,0),0)),"Not within 10 yrs")</f>
        <v/>
      </c>
    </row>
    <row r="17">
      <c r="A17" t="inlineStr">
        <is>
          <t>10-yr ROI (cumulative net / initial outlay)</t>
        </is>
      </c>
      <c r="B17">
        <f>IFERROR(R12/B15,"n/a")</f>
        <v/>
      </c>
    </row>
    <row r="18">
      <c r="A18" t="inlineStr">
        <is>
          <t>Note: Adult deaths are assumed replaced from retained offspring. Adjust if you buy replacements.</t>
        </is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8" t="inlineStr">
        <is>
          <t>NOT tax, legal or investment advice. Educational template only. Consult a CPA and your county appraisal district.</t>
        </is>
      </c>
    </row>
    <row r="2">
      <c r="A2" s="10" t="inlineStr">
        <is>
          <t>Price change</t>
        </is>
      </c>
      <c r="B2" s="10" t="inlineStr">
        <is>
          <t>Survival change</t>
        </is>
      </c>
      <c r="C2" s="5" t="inlineStr">
        <is>
          <t>Approx. 10-yr cumulative net ($)</t>
        </is>
      </c>
    </row>
    <row r="3">
      <c r="A3" s="9" t="n">
        <v>-0.2</v>
      </c>
      <c r="B3" s="9" t="n">
        <v>0</v>
      </c>
      <c r="C3">
        <f>Projection!$R$12+SUMPRODUCT(Projection!$G$3:$G$12)*((1+A3)*(1+B3)-1)*(1-Inputs!$B$13)</f>
        <v/>
      </c>
    </row>
    <row r="4">
      <c r="A4" s="9" t="n">
        <v>0</v>
      </c>
      <c r="B4" s="9" t="n">
        <v>0</v>
      </c>
      <c r="C4">
        <f>Projection!$R$12+SUMPRODUCT(Projection!$G$3:$G$12)*((1+A4)*(1+B4)-1)*(1-Inputs!$B$13)</f>
        <v/>
      </c>
    </row>
    <row r="5">
      <c r="A5" s="9" t="n">
        <v>0.2</v>
      </c>
      <c r="B5" s="9" t="n">
        <v>0</v>
      </c>
      <c r="C5">
        <f>Projection!$R$12+SUMPRODUCT(Projection!$G$3:$G$12)*((1+A5)*(1+B5)-1)*(1-Inputs!$B$13)</f>
        <v/>
      </c>
    </row>
    <row r="6">
      <c r="A6" s="9" t="n">
        <v>0</v>
      </c>
      <c r="B6" s="9" t="n">
        <v>-0.2</v>
      </c>
      <c r="C6">
        <f>Projection!$R$12+SUMPRODUCT(Projection!$G$3:$G$12)*((1+A6)*(1+B6)-1)*(1-Inputs!$B$13)</f>
        <v/>
      </c>
    </row>
    <row r="7">
      <c r="A7" s="9" t="n">
        <v>0</v>
      </c>
      <c r="B7" s="9" t="n">
        <v>0.2</v>
      </c>
      <c r="C7">
        <f>Projection!$R$12+SUMPRODUCT(Projection!$G$3:$G$12)*((1+A7)*(1+B7)-1)*(1-Inputs!$B$13)</f>
        <v/>
      </c>
    </row>
    <row r="8">
      <c r="A8" s="9" t="n">
        <v>-0.2</v>
      </c>
      <c r="B8" s="9" t="n">
        <v>-0.2</v>
      </c>
      <c r="C8">
        <f>Projection!$R$12+SUMPRODUCT(Projection!$G$3:$G$12)*((1+A8)*(1+B8)-1)*(1-Inputs!$B$13)</f>
        <v/>
      </c>
    </row>
    <row r="9">
      <c r="A9" s="9" t="inlineStr">
        <is>
          <t>Approximation: scales gross sales (net of commission) only; capture/haul per head not rescaled.</t>
        </is>
      </c>
      <c r="B9" s="9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2026-10-18T02:06:24Z</dcterms:created>
  <dcterms:modified xmlns:dcterms="http://purl.org/dc/terms/" xmlns:xsi="http://www.w3.org/2001/XMLSchema-instance" xsi:type="dcterms:W3CDTF">2026-10-18T04:47:13Z</dcterms:modified>
</cp:coreProperties>
</file>